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LINS BONYO\Desktop\"/>
    </mc:Choice>
  </mc:AlternateContent>
  <bookViews>
    <workbookView xWindow="0" yWindow="0" windowWidth="20490" windowHeight="7905" activeTab="1"/>
  </bookViews>
  <sheets>
    <sheet name="2020 P&amp;L" sheetId="3" r:id="rId1"/>
    <sheet name="2021 Budget" sheetId="2" r:id="rId2"/>
    <sheet name="Sheet1" sheetId="4" state="hidden" r:id="rId3"/>
  </sheets>
  <definedNames>
    <definedName name="_xlnm.Print_Area" localSheetId="0">'2020 P&amp;L'!$A$1:$I$48</definedName>
    <definedName name="_xlnm.Print_Area" localSheetId="1">'2021 Budget'!$A$1:$I$51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E38" i="2" l="1"/>
  <c r="E33" i="2"/>
  <c r="E25" i="2"/>
  <c r="E27" i="2" s="1"/>
  <c r="E19" i="2"/>
  <c r="E14" i="2"/>
  <c r="I12" i="2"/>
  <c r="I17" i="2"/>
  <c r="I22" i="2"/>
  <c r="I37" i="2"/>
  <c r="I40" i="2"/>
  <c r="I41" i="2" s="1"/>
  <c r="I43" i="2"/>
  <c r="G41" i="2"/>
  <c r="E41" i="2"/>
  <c r="G38" i="2"/>
  <c r="I36" i="2"/>
  <c r="I35" i="2"/>
  <c r="G33" i="2"/>
  <c r="I32" i="2"/>
  <c r="I31" i="2"/>
  <c r="I30" i="2"/>
  <c r="G25" i="2"/>
  <c r="I24" i="2"/>
  <c r="I23" i="2"/>
  <c r="I21" i="2"/>
  <c r="G19" i="2"/>
  <c r="I18" i="2"/>
  <c r="I16" i="2"/>
  <c r="G14" i="2"/>
  <c r="I13" i="2"/>
  <c r="I11" i="2"/>
  <c r="I10" i="2"/>
  <c r="I43" i="3"/>
  <c r="I37" i="3"/>
  <c r="I36" i="3"/>
  <c r="I35" i="3"/>
  <c r="I32" i="3"/>
  <c r="I31" i="3"/>
  <c r="I30" i="3"/>
  <c r="I24" i="3"/>
  <c r="I23" i="3"/>
  <c r="I22" i="3"/>
  <c r="I21" i="3"/>
  <c r="I18" i="3"/>
  <c r="I17" i="3"/>
  <c r="I16" i="3"/>
  <c r="I10" i="3"/>
  <c r="I11" i="3"/>
  <c r="I12" i="3"/>
  <c r="I13" i="3"/>
  <c r="I9" i="3"/>
  <c r="I41" i="3"/>
  <c r="I40" i="3"/>
  <c r="G41" i="3"/>
  <c r="E41" i="3"/>
  <c r="I19" i="2" l="1"/>
  <c r="I25" i="2"/>
  <c r="I33" i="2"/>
  <c r="I38" i="2"/>
  <c r="I14" i="2"/>
  <c r="G27" i="2"/>
  <c r="E45" i="2"/>
  <c r="G45" i="2"/>
  <c r="I53" i="4"/>
  <c r="G52" i="4"/>
  <c r="E52" i="4"/>
  <c r="G51" i="4"/>
  <c r="E51" i="4"/>
  <c r="G50" i="4"/>
  <c r="E50" i="4"/>
  <c r="G49" i="4"/>
  <c r="E49" i="4"/>
  <c r="G48" i="4"/>
  <c r="E48" i="4"/>
  <c r="G47" i="4"/>
  <c r="E47" i="4"/>
  <c r="G46" i="4"/>
  <c r="E46" i="4"/>
  <c r="G45" i="4"/>
  <c r="E45" i="4"/>
  <c r="G44" i="4"/>
  <c r="E44" i="4"/>
  <c r="G43" i="4"/>
  <c r="E43" i="4"/>
  <c r="G42" i="4"/>
  <c r="E42" i="4"/>
  <c r="G41" i="4"/>
  <c r="G53" i="4" s="1"/>
  <c r="E41" i="4"/>
  <c r="G40" i="4"/>
  <c r="E40" i="4"/>
  <c r="E53" i="4" s="1"/>
  <c r="I38" i="4"/>
  <c r="I57" i="4" s="1"/>
  <c r="G36" i="4"/>
  <c r="E36" i="4"/>
  <c r="G35" i="4"/>
  <c r="G38" i="4" s="1"/>
  <c r="E35" i="4"/>
  <c r="E38" i="4" s="1"/>
  <c r="I33" i="4"/>
  <c r="G32" i="4"/>
  <c r="E32" i="4"/>
  <c r="G31" i="4"/>
  <c r="G33" i="4" s="1"/>
  <c r="E31" i="4"/>
  <c r="G30" i="4"/>
  <c r="E30" i="4"/>
  <c r="E33" i="4" s="1"/>
  <c r="I27" i="4"/>
  <c r="I59" i="4" s="1"/>
  <c r="I25" i="4"/>
  <c r="G24" i="4"/>
  <c r="E24" i="4"/>
  <c r="G23" i="4"/>
  <c r="E23" i="4"/>
  <c r="G22" i="4"/>
  <c r="E22" i="4"/>
  <c r="G21" i="4"/>
  <c r="G25" i="4" s="1"/>
  <c r="G27" i="4" s="1"/>
  <c r="E21" i="4"/>
  <c r="E25" i="4" s="1"/>
  <c r="E27" i="4" s="1"/>
  <c r="I19" i="4"/>
  <c r="E19" i="4"/>
  <c r="E18" i="4"/>
  <c r="G17" i="4"/>
  <c r="E17" i="4"/>
  <c r="G16" i="4"/>
  <c r="G19" i="4" s="1"/>
  <c r="E16" i="4"/>
  <c r="I14" i="4"/>
  <c r="E14" i="4"/>
  <c r="G13" i="4"/>
  <c r="E13" i="4"/>
  <c r="G12" i="4"/>
  <c r="G11" i="4"/>
  <c r="E11" i="4"/>
  <c r="G10" i="4"/>
  <c r="E10" i="4"/>
  <c r="G9" i="4"/>
  <c r="G14" i="4" s="1"/>
  <c r="E9" i="4"/>
  <c r="I45" i="2" l="1"/>
  <c r="I27" i="2"/>
  <c r="G47" i="2"/>
  <c r="E47" i="2"/>
  <c r="E57" i="4"/>
  <c r="G57" i="4"/>
  <c r="G59" i="4" s="1"/>
  <c r="E59" i="4"/>
  <c r="I38" i="3"/>
  <c r="I33" i="3"/>
  <c r="I25" i="3"/>
  <c r="I19" i="3"/>
  <c r="I14" i="3"/>
  <c r="G19" i="3"/>
  <c r="G14" i="3"/>
  <c r="E36" i="3"/>
  <c r="E35" i="3"/>
  <c r="E32" i="3"/>
  <c r="E31" i="3"/>
  <c r="E30" i="3"/>
  <c r="E24" i="3"/>
  <c r="E23" i="3"/>
  <c r="E22" i="3"/>
  <c r="E21" i="3"/>
  <c r="E18" i="3"/>
  <c r="E17" i="3"/>
  <c r="E16" i="3"/>
  <c r="E19" i="3" s="1"/>
  <c r="E13" i="3"/>
  <c r="E11" i="3"/>
  <c r="E10" i="3"/>
  <c r="E9" i="3"/>
  <c r="E33" i="3"/>
  <c r="G38" i="3"/>
  <c r="G33" i="3"/>
  <c r="I47" i="2" l="1"/>
  <c r="I45" i="3"/>
  <c r="E14" i="3"/>
  <c r="E25" i="3"/>
  <c r="I27" i="3"/>
  <c r="I47" i="3" s="1"/>
  <c r="G25" i="3"/>
  <c r="G27" i="3" s="1"/>
  <c r="E38" i="3"/>
  <c r="E27" i="3"/>
  <c r="E45" i="3"/>
  <c r="G45" i="3"/>
  <c r="G47" i="3" l="1"/>
  <c r="E47" i="3"/>
</calcChain>
</file>

<file path=xl/sharedStrings.xml><?xml version="1.0" encoding="utf-8"?>
<sst xmlns="http://schemas.openxmlformats.org/spreadsheetml/2006/main" count="142" uniqueCount="50">
  <si>
    <t>Variance</t>
  </si>
  <si>
    <t>Support Offices</t>
  </si>
  <si>
    <t>International Office</t>
  </si>
  <si>
    <t>Country Offices</t>
  </si>
  <si>
    <t>INCOME</t>
  </si>
  <si>
    <t>USA</t>
  </si>
  <si>
    <t>UK</t>
  </si>
  <si>
    <t>Europe</t>
  </si>
  <si>
    <t>Gifts-In-Kind</t>
  </si>
  <si>
    <t>Sub-Total</t>
  </si>
  <si>
    <t>Karen Training Center</t>
  </si>
  <si>
    <t>Local Resource Mobilization</t>
  </si>
  <si>
    <t>GMC Income</t>
  </si>
  <si>
    <t>In-Country Income</t>
  </si>
  <si>
    <t>Haiti Clinic</t>
  </si>
  <si>
    <t>Ethiopia Clinic</t>
  </si>
  <si>
    <t>Jamaica Camp</t>
  </si>
  <si>
    <t>Total Income</t>
  </si>
  <si>
    <t>EXPENDITURE</t>
  </si>
  <si>
    <t>SUPPORT OFFICES</t>
  </si>
  <si>
    <t>Operations</t>
  </si>
  <si>
    <t>GMC</t>
  </si>
  <si>
    <t>Kenya</t>
  </si>
  <si>
    <t>Ethiopia</t>
  </si>
  <si>
    <t>South Sudan</t>
  </si>
  <si>
    <t>Djibouti</t>
  </si>
  <si>
    <t>Somaliland</t>
  </si>
  <si>
    <t>Sudan</t>
  </si>
  <si>
    <t>Egypt</t>
  </si>
  <si>
    <t>Rwanda</t>
  </si>
  <si>
    <t>Burundi</t>
  </si>
  <si>
    <t>DR Congo</t>
  </si>
  <si>
    <t>Uganda</t>
  </si>
  <si>
    <t>Jamaica</t>
  </si>
  <si>
    <t>Short-term Trips</t>
  </si>
  <si>
    <t>TOTAL EXPENDITURE</t>
  </si>
  <si>
    <t>Miscellaneous Income</t>
  </si>
  <si>
    <t xml:space="preserve">Haiti </t>
  </si>
  <si>
    <t>Net Surplus (Deficit)</t>
  </si>
  <si>
    <t>2020</t>
  </si>
  <si>
    <t>Investments</t>
  </si>
  <si>
    <t>LIA CONSOLIDATED 2020 P&amp;L AND BUDGET COMPARISON</t>
  </si>
  <si>
    <t>Actual</t>
  </si>
  <si>
    <t>Budget</t>
  </si>
  <si>
    <t>2021</t>
  </si>
  <si>
    <t>2020 12 Months</t>
  </si>
  <si>
    <t>Projection</t>
  </si>
  <si>
    <t>14 Country Offices</t>
  </si>
  <si>
    <t>2021 BUDGET VS YTD COMPARISON</t>
  </si>
  <si>
    <t>YTD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</si>
</sst>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Rounded MT Bold"/>
      <family val="2"/>
    </font>
    <font>
      <b/>
      <sz val="12"/>
      <color theme="1"/>
      <name val="Arial Rounded MT Bold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2"/>
      <color rgb="FF000000"/>
      <name val="Arial Rounded MT Bold"/>
      <family val="2"/>
    </font>
    <font>
      <sz val="12"/>
      <color rgb="FF000000"/>
      <name val="Arial Rounded MT Bold"/>
      <family val="2"/>
    </font>
    <font>
      <i/>
      <sz val="12"/>
      <color theme="1"/>
      <name val="Arial Rounded MT Bold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4" fillId="0" borderId="0" xfId="1" applyNumberFormat="1" applyFont="1" applyFill="1" applyBorder="1"/>
    <xf numFmtId="164" fontId="2" fillId="0" borderId="0" xfId="1" applyNumberFormat="1" applyFont="1" applyFill="1" applyBorder="1"/>
    <xf numFmtId="164" fontId="5" fillId="0" borderId="0" xfId="1" quotePrefix="1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164" fontId="3" fillId="0" borderId="0" xfId="1" quotePrefix="1" applyNumberFormat="1" applyFont="1" applyFill="1" applyBorder="1" applyAlignment="1">
      <alignment horizontal="center" vertical="center"/>
    </xf>
    <xf numFmtId="164" fontId="3" fillId="0" borderId="0" xfId="1" quotePrefix="1" applyNumberFormat="1" applyFont="1" applyFill="1" applyBorder="1" applyAlignment="1">
      <alignment horizontal="center"/>
    </xf>
    <xf numFmtId="164" fontId="5" fillId="0" borderId="0" xfId="1" quotePrefix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6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164" fontId="5" fillId="0" borderId="0" xfId="1" applyNumberFormat="1" applyFont="1" applyFill="1" applyBorder="1"/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0" fontId="8" fillId="0" borderId="0" xfId="0" applyFont="1" applyFill="1" applyBorder="1"/>
    <xf numFmtId="164" fontId="5" fillId="0" borderId="1" xfId="1" applyNumberFormat="1" applyFont="1" applyFill="1" applyBorder="1"/>
    <xf numFmtId="164" fontId="3" fillId="0" borderId="1" xfId="1" applyNumberFormat="1" applyFont="1" applyFill="1" applyBorder="1"/>
    <xf numFmtId="164" fontId="6" fillId="0" borderId="1" xfId="1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11" fillId="0" borderId="0" xfId="1" quotePrefix="1" applyNumberFormat="1" applyFont="1" applyFill="1" applyBorder="1" applyAlignment="1">
      <alignment horizontal="center"/>
    </xf>
    <xf numFmtId="164" fontId="10" fillId="0" borderId="0" xfId="1" applyNumberFormat="1" applyFont="1" applyFill="1" applyBorder="1"/>
    <xf numFmtId="164" fontId="10" fillId="0" borderId="0" xfId="1" quotePrefix="1" applyNumberFormat="1" applyFont="1" applyFill="1" applyBorder="1" applyAlignment="1">
      <alignment horizontal="center" vertical="center"/>
    </xf>
    <xf numFmtId="164" fontId="10" fillId="0" borderId="0" xfId="1" quotePrefix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1" fillId="0" borderId="0" xfId="1" quotePrefix="1" applyNumberFormat="1" applyFont="1" applyFill="1" applyBorder="1" applyAlignment="1">
      <alignment horizontal="center" wrapText="1"/>
    </xf>
    <xf numFmtId="164" fontId="10" fillId="0" borderId="0" xfId="1" applyNumberFormat="1" applyFont="1" applyFill="1" applyBorder="1" applyAlignment="1">
      <alignment horizontal="center" wrapText="1"/>
    </xf>
    <xf numFmtId="0" fontId="12" fillId="0" borderId="0" xfId="0" quotePrefix="1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164" fontId="11" fillId="0" borderId="0" xfId="1" applyNumberFormat="1" applyFont="1" applyFill="1" applyBorder="1"/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64" fontId="14" fillId="0" borderId="0" xfId="1" applyNumberFormat="1" applyFont="1" applyFill="1" applyBorder="1"/>
    <xf numFmtId="164" fontId="9" fillId="0" borderId="0" xfId="1" applyNumberFormat="1" applyFont="1" applyFill="1" applyBorder="1"/>
    <xf numFmtId="164" fontId="13" fillId="0" borderId="0" xfId="1" applyNumberFormat="1" applyFont="1" applyBorder="1" applyAlignment="1">
      <alignment horizontal="right" vertical="center"/>
    </xf>
    <xf numFmtId="164" fontId="12" fillId="0" borderId="0" xfId="1" applyNumberFormat="1" applyFont="1" applyBorder="1" applyAlignment="1">
      <alignment horizontal="right" vertical="center"/>
    </xf>
    <xf numFmtId="0" fontId="15" fillId="0" borderId="0" xfId="0" applyFont="1" applyFill="1" applyBorder="1"/>
    <xf numFmtId="164" fontId="11" fillId="0" borderId="1" xfId="1" applyNumberFormat="1" applyFont="1" applyFill="1" applyBorder="1"/>
    <xf numFmtId="0" fontId="10" fillId="0" borderId="0" xfId="0" applyFont="1" applyFill="1" applyBorder="1" applyAlignment="1">
      <alignment horizontal="left"/>
    </xf>
    <xf numFmtId="164" fontId="10" fillId="0" borderId="1" xfId="1" applyNumberFormat="1" applyFont="1" applyFill="1" applyBorder="1"/>
    <xf numFmtId="164" fontId="12" fillId="0" borderId="1" xfId="1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164" fontId="11" fillId="0" borderId="0" xfId="1" quotePrefix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wrapText="1"/>
    </xf>
    <xf numFmtId="0" fontId="11" fillId="0" borderId="0" xfId="0" quotePrefix="1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4" fontId="14" fillId="0" borderId="0" xfId="1" applyNumberFormat="1" applyFont="1" applyBorder="1" applyAlignment="1">
      <alignment horizontal="right" vertical="center"/>
    </xf>
    <xf numFmtId="164" fontId="11" fillId="0" borderId="0" xfId="1" applyNumberFormat="1" applyFont="1" applyBorder="1" applyAlignment="1">
      <alignment horizontal="right" vertical="center"/>
    </xf>
    <xf numFmtId="164" fontId="11" fillId="0" borderId="1" xfId="1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view="pageBreakPreview" zoomScale="80" zoomScaleNormal="100" zoomScaleSheetLayoutView="80" workbookViewId="0">
      <pane xSplit="4" ySplit="6" topLeftCell="E37" activePane="bottomRight" state="frozen"/>
      <selection pane="topRight" activeCell="E1" sqref="E1"/>
      <selection pane="bottomLeft" activeCell="A7" sqref="A7"/>
      <selection pane="bottomRight" activeCell="G19" sqref="G19"/>
    </sheetView>
  </sheetViews>
  <sheetFormatPr defaultRowHeight="15.75" x14ac:dyDescent="0.25"/>
  <cols>
    <col min="1" max="1" width="4.5703125" style="57" customWidth="1"/>
    <col min="2" max="2" width="4.140625" style="57" customWidth="1"/>
    <col min="3" max="3" width="4.28515625" style="57" customWidth="1"/>
    <col min="4" max="4" width="33.7109375" style="58" customWidth="1"/>
    <col min="5" max="5" width="22.5703125" style="43" customWidth="1"/>
    <col min="6" max="6" width="1.7109375" style="43" customWidth="1"/>
    <col min="7" max="7" width="20.5703125" style="43" bestFit="1" customWidth="1"/>
    <col min="8" max="8" width="2" style="43" customWidth="1"/>
    <col min="9" max="9" width="22" style="43" customWidth="1"/>
    <col min="10" max="16384" width="9.140625" style="29"/>
  </cols>
  <sheetData>
    <row r="1" spans="1:9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9" x14ac:dyDescent="0.25">
      <c r="A2" s="56" t="s">
        <v>41</v>
      </c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55"/>
      <c r="B3" s="55"/>
      <c r="C3" s="55"/>
      <c r="D3" s="55"/>
      <c r="E3" s="55"/>
      <c r="F3" s="55"/>
      <c r="G3" s="55"/>
      <c r="H3" s="55"/>
      <c r="I3" s="55"/>
    </row>
    <row r="4" spans="1:9" x14ac:dyDescent="0.25">
      <c r="E4" s="32"/>
      <c r="I4" s="59"/>
    </row>
    <row r="5" spans="1:9" x14ac:dyDescent="0.25">
      <c r="E5" s="32" t="s">
        <v>39</v>
      </c>
      <c r="G5" s="32" t="s">
        <v>39</v>
      </c>
      <c r="I5" s="59" t="s">
        <v>0</v>
      </c>
    </row>
    <row r="6" spans="1:9" x14ac:dyDescent="0.25">
      <c r="A6" s="60"/>
      <c r="B6" s="60"/>
      <c r="C6" s="60"/>
      <c r="D6" s="60"/>
      <c r="E6" s="37" t="s">
        <v>43</v>
      </c>
      <c r="F6" s="61"/>
      <c r="G6" s="62" t="s">
        <v>42</v>
      </c>
      <c r="H6" s="63"/>
      <c r="I6" s="62"/>
    </row>
    <row r="7" spans="1:9" s="42" customFormat="1" x14ac:dyDescent="0.25">
      <c r="A7" s="64"/>
      <c r="B7" s="65" t="s">
        <v>4</v>
      </c>
      <c r="C7" s="65"/>
      <c r="D7" s="65"/>
      <c r="E7" s="43"/>
      <c r="F7" s="43"/>
      <c r="G7" s="66"/>
      <c r="H7" s="66"/>
      <c r="I7" s="67"/>
    </row>
    <row r="8" spans="1:9" x14ac:dyDescent="0.25">
      <c r="C8" s="58" t="s">
        <v>1</v>
      </c>
      <c r="E8" s="46"/>
      <c r="F8" s="46"/>
      <c r="G8" s="68"/>
      <c r="H8" s="68"/>
      <c r="I8" s="69"/>
    </row>
    <row r="9" spans="1:9" x14ac:dyDescent="0.25">
      <c r="D9" s="58" t="s">
        <v>5</v>
      </c>
      <c r="E9" s="68">
        <f>3379663</f>
        <v>3379663</v>
      </c>
      <c r="F9" s="46"/>
      <c r="G9" s="46">
        <v>3071932</v>
      </c>
      <c r="H9" s="68"/>
      <c r="I9" s="68">
        <f>+E9-G9</f>
        <v>307731</v>
      </c>
    </row>
    <row r="10" spans="1:9" x14ac:dyDescent="0.25">
      <c r="D10" s="58" t="s">
        <v>6</v>
      </c>
      <c r="E10" s="68">
        <f>300000</f>
        <v>300000</v>
      </c>
      <c r="F10" s="46"/>
      <c r="G10" s="46">
        <v>37456</v>
      </c>
      <c r="H10" s="68"/>
      <c r="I10" s="68">
        <f t="shared" ref="I10:I13" si="0">+E10-G10</f>
        <v>262544</v>
      </c>
    </row>
    <row r="11" spans="1:9" x14ac:dyDescent="0.25">
      <c r="D11" s="58" t="s">
        <v>7</v>
      </c>
      <c r="E11" s="68">
        <f>100000</f>
        <v>100000</v>
      </c>
      <c r="F11" s="46"/>
      <c r="G11" s="46">
        <v>12816</v>
      </c>
      <c r="H11" s="68"/>
      <c r="I11" s="68">
        <f t="shared" si="0"/>
        <v>87184</v>
      </c>
    </row>
    <row r="12" spans="1:9" x14ac:dyDescent="0.25">
      <c r="D12" s="58" t="s">
        <v>40</v>
      </c>
      <c r="E12" s="68">
        <v>0</v>
      </c>
      <c r="F12" s="46"/>
      <c r="G12" s="46">
        <v>238</v>
      </c>
      <c r="H12" s="68"/>
      <c r="I12" s="68">
        <f t="shared" si="0"/>
        <v>-238</v>
      </c>
    </row>
    <row r="13" spans="1:9" x14ac:dyDescent="0.25">
      <c r="D13" s="58" t="s">
        <v>8</v>
      </c>
      <c r="E13" s="68">
        <f>25000</f>
        <v>25000</v>
      </c>
      <c r="F13" s="46"/>
      <c r="G13" s="46">
        <v>11298</v>
      </c>
      <c r="H13" s="68"/>
      <c r="I13" s="68">
        <f t="shared" si="0"/>
        <v>13702</v>
      </c>
    </row>
    <row r="14" spans="1:9" s="42" customFormat="1" x14ac:dyDescent="0.25">
      <c r="A14" s="64"/>
      <c r="B14" s="64"/>
      <c r="C14" s="64"/>
      <c r="D14" s="64" t="s">
        <v>9</v>
      </c>
      <c r="E14" s="51">
        <f>SUM(E9:E13)</f>
        <v>3804663</v>
      </c>
      <c r="F14" s="43"/>
      <c r="G14" s="51">
        <f>SUM(G9:G13)</f>
        <v>3133740</v>
      </c>
      <c r="H14" s="69"/>
      <c r="I14" s="51">
        <f>SUM(I9:I13)</f>
        <v>670923</v>
      </c>
    </row>
    <row r="15" spans="1:9" s="42" customFormat="1" x14ac:dyDescent="0.25">
      <c r="A15" s="64"/>
      <c r="B15" s="64"/>
      <c r="C15" s="65" t="s">
        <v>2</v>
      </c>
      <c r="D15" s="65"/>
      <c r="E15" s="43"/>
      <c r="F15" s="43"/>
      <c r="G15" s="43"/>
      <c r="H15" s="68"/>
      <c r="I15" s="68"/>
    </row>
    <row r="16" spans="1:9" x14ac:dyDescent="0.25">
      <c r="D16" s="58" t="s">
        <v>10</v>
      </c>
      <c r="E16" s="68">
        <f>200000</f>
        <v>200000</v>
      </c>
      <c r="G16" s="46">
        <v>24616</v>
      </c>
      <c r="H16" s="68"/>
      <c r="I16" s="68">
        <f t="shared" ref="I16:I18" si="1">+E16-G16</f>
        <v>175384</v>
      </c>
    </row>
    <row r="17" spans="1:9" x14ac:dyDescent="0.25">
      <c r="D17" s="58" t="s">
        <v>11</v>
      </c>
      <c r="E17" s="68">
        <f>100000</f>
        <v>100000</v>
      </c>
      <c r="F17" s="46"/>
      <c r="G17" s="46">
        <v>27147</v>
      </c>
      <c r="H17" s="68"/>
      <c r="I17" s="68">
        <f t="shared" si="1"/>
        <v>72853</v>
      </c>
    </row>
    <row r="18" spans="1:9" x14ac:dyDescent="0.25">
      <c r="D18" s="58" t="s">
        <v>12</v>
      </c>
      <c r="E18" s="68">
        <f>20000</f>
        <v>20000</v>
      </c>
      <c r="F18" s="46"/>
      <c r="G18" s="46">
        <v>0</v>
      </c>
      <c r="H18" s="68"/>
      <c r="I18" s="68">
        <f t="shared" si="1"/>
        <v>20000</v>
      </c>
    </row>
    <row r="19" spans="1:9" s="42" customFormat="1" x14ac:dyDescent="0.25">
      <c r="A19" s="64"/>
      <c r="B19" s="64"/>
      <c r="C19" s="64"/>
      <c r="D19" s="64" t="s">
        <v>9</v>
      </c>
      <c r="E19" s="70">
        <f>SUM(E16:E18)</f>
        <v>320000</v>
      </c>
      <c r="F19" s="43"/>
      <c r="G19" s="51">
        <f>SUM(G16:G18)</f>
        <v>51763</v>
      </c>
      <c r="H19" s="69"/>
      <c r="I19" s="51">
        <f>SUM(I16:I18)</f>
        <v>268237</v>
      </c>
    </row>
    <row r="20" spans="1:9" s="42" customFormat="1" x14ac:dyDescent="0.25">
      <c r="A20" s="64"/>
      <c r="B20" s="64"/>
      <c r="C20" s="71" t="s">
        <v>13</v>
      </c>
      <c r="D20" s="65"/>
      <c r="E20" s="68"/>
      <c r="F20" s="43"/>
      <c r="G20" s="43"/>
      <c r="H20" s="68"/>
      <c r="I20" s="68"/>
    </row>
    <row r="21" spans="1:9" x14ac:dyDescent="0.25">
      <c r="D21" s="58" t="s">
        <v>14</v>
      </c>
      <c r="E21" s="68">
        <f>38000</f>
        <v>38000</v>
      </c>
      <c r="F21" s="46"/>
      <c r="G21" s="46">
        <v>39532.870000000003</v>
      </c>
      <c r="H21" s="68"/>
      <c r="I21" s="68">
        <f t="shared" ref="I21:I24" si="2">+E21-G21</f>
        <v>-1532.8700000000026</v>
      </c>
    </row>
    <row r="22" spans="1:9" x14ac:dyDescent="0.25">
      <c r="D22" s="58" t="s">
        <v>15</v>
      </c>
      <c r="E22" s="68">
        <f>10000</f>
        <v>10000</v>
      </c>
      <c r="F22" s="46"/>
      <c r="G22" s="46">
        <v>8700</v>
      </c>
      <c r="H22" s="68"/>
      <c r="I22" s="68">
        <f t="shared" si="2"/>
        <v>1300</v>
      </c>
    </row>
    <row r="23" spans="1:9" x14ac:dyDescent="0.25">
      <c r="D23" s="58" t="s">
        <v>16</v>
      </c>
      <c r="E23" s="68">
        <f>50000</f>
        <v>50000</v>
      </c>
      <c r="F23" s="46"/>
      <c r="G23" s="46">
        <v>3634.61</v>
      </c>
      <c r="H23" s="68"/>
      <c r="I23" s="68">
        <f t="shared" si="2"/>
        <v>46365.39</v>
      </c>
    </row>
    <row r="24" spans="1:9" x14ac:dyDescent="0.25">
      <c r="D24" s="58" t="s">
        <v>36</v>
      </c>
      <c r="E24" s="68">
        <f>7500</f>
        <v>7500</v>
      </c>
      <c r="F24" s="46"/>
      <c r="G24" s="46">
        <v>550</v>
      </c>
      <c r="H24" s="68"/>
      <c r="I24" s="68">
        <f t="shared" si="2"/>
        <v>6950</v>
      </c>
    </row>
    <row r="25" spans="1:9" s="42" customFormat="1" x14ac:dyDescent="0.25">
      <c r="A25" s="65"/>
      <c r="B25" s="65"/>
      <c r="C25" s="65"/>
      <c r="D25" s="64" t="s">
        <v>9</v>
      </c>
      <c r="E25" s="70">
        <f>SUM(E21:E24)</f>
        <v>105500</v>
      </c>
      <c r="F25" s="43"/>
      <c r="G25" s="51">
        <f>SUM(G21:G24)</f>
        <v>52417.48</v>
      </c>
      <c r="H25" s="69"/>
      <c r="I25" s="51">
        <f>SUM(I21:I24)</f>
        <v>53082.52</v>
      </c>
    </row>
    <row r="26" spans="1:9" s="42" customFormat="1" x14ac:dyDescent="0.25">
      <c r="A26" s="64"/>
      <c r="B26" s="64"/>
      <c r="C26" s="64"/>
      <c r="D26" s="65"/>
      <c r="E26" s="68"/>
      <c r="F26" s="43"/>
      <c r="G26" s="43"/>
      <c r="H26" s="68"/>
      <c r="I26" s="43"/>
    </row>
    <row r="27" spans="1:9" s="42" customFormat="1" x14ac:dyDescent="0.25">
      <c r="A27" s="64"/>
      <c r="B27" s="64"/>
      <c r="C27" s="64"/>
      <c r="D27" s="64" t="s">
        <v>17</v>
      </c>
      <c r="E27" s="70">
        <f>+E25+E19+E14</f>
        <v>4230163</v>
      </c>
      <c r="F27" s="43"/>
      <c r="G27" s="51">
        <f>+G25+G14+G19</f>
        <v>3237920.48</v>
      </c>
      <c r="H27" s="69"/>
      <c r="I27" s="51">
        <f>+I25+I14+I19</f>
        <v>992242.52</v>
      </c>
    </row>
    <row r="28" spans="1:9" s="42" customFormat="1" x14ac:dyDescent="0.25">
      <c r="A28" s="64"/>
      <c r="B28" s="65" t="s">
        <v>18</v>
      </c>
      <c r="C28" s="65"/>
      <c r="D28" s="65"/>
      <c r="E28" s="68"/>
      <c r="F28" s="43"/>
      <c r="G28" s="43"/>
      <c r="H28" s="68"/>
      <c r="I28" s="68"/>
    </row>
    <row r="29" spans="1:9" s="42" customFormat="1" x14ac:dyDescent="0.25">
      <c r="A29" s="64"/>
      <c r="B29" s="64"/>
      <c r="C29" s="65" t="s">
        <v>19</v>
      </c>
      <c r="D29" s="65"/>
      <c r="E29" s="68"/>
      <c r="F29" s="43"/>
      <c r="G29" s="43"/>
      <c r="H29" s="68"/>
      <c r="I29" s="68"/>
    </row>
    <row r="30" spans="1:9" x14ac:dyDescent="0.25">
      <c r="D30" s="58" t="s">
        <v>5</v>
      </c>
      <c r="E30" s="68">
        <f>844000</f>
        <v>844000</v>
      </c>
      <c r="G30" s="46">
        <v>695346</v>
      </c>
      <c r="H30" s="68"/>
      <c r="I30" s="68">
        <f t="shared" ref="I30:I32" si="3">+E30-G30</f>
        <v>148654</v>
      </c>
    </row>
    <row r="31" spans="1:9" x14ac:dyDescent="0.25">
      <c r="D31" s="58" t="s">
        <v>6</v>
      </c>
      <c r="E31" s="68">
        <f>84000</f>
        <v>84000</v>
      </c>
      <c r="G31" s="46">
        <v>61118</v>
      </c>
      <c r="H31" s="68"/>
      <c r="I31" s="68">
        <f t="shared" si="3"/>
        <v>22882</v>
      </c>
    </row>
    <row r="32" spans="1:9" x14ac:dyDescent="0.25">
      <c r="D32" s="58" t="s">
        <v>7</v>
      </c>
      <c r="E32" s="68">
        <f>51000</f>
        <v>51000</v>
      </c>
      <c r="G32" s="46">
        <v>84283</v>
      </c>
      <c r="H32" s="68"/>
      <c r="I32" s="68">
        <f t="shared" si="3"/>
        <v>-33283</v>
      </c>
    </row>
    <row r="33" spans="1:9" s="42" customFormat="1" x14ac:dyDescent="0.25">
      <c r="A33" s="64"/>
      <c r="B33" s="64"/>
      <c r="C33" s="64"/>
      <c r="D33" s="64" t="s">
        <v>9</v>
      </c>
      <c r="E33" s="70">
        <f>SUM(E30:E32)</f>
        <v>979000</v>
      </c>
      <c r="F33" s="43"/>
      <c r="G33" s="51">
        <f t="shared" ref="G33:I33" si="4">SUM(G30:G32)</f>
        <v>840747</v>
      </c>
      <c r="H33" s="69"/>
      <c r="I33" s="51">
        <f t="shared" si="4"/>
        <v>138253</v>
      </c>
    </row>
    <row r="34" spans="1:9" s="42" customFormat="1" x14ac:dyDescent="0.25">
      <c r="A34" s="64"/>
      <c r="B34" s="64"/>
      <c r="C34" s="65" t="s">
        <v>2</v>
      </c>
      <c r="D34" s="65"/>
      <c r="E34" s="68"/>
      <c r="F34" s="43"/>
      <c r="G34" s="43"/>
      <c r="H34" s="68"/>
      <c r="I34" s="68"/>
    </row>
    <row r="35" spans="1:9" x14ac:dyDescent="0.25">
      <c r="D35" s="58" t="s">
        <v>10</v>
      </c>
      <c r="E35" s="68">
        <f>72000</f>
        <v>72000</v>
      </c>
      <c r="G35" s="46">
        <v>13829</v>
      </c>
      <c r="H35" s="68"/>
      <c r="I35" s="68">
        <f t="shared" ref="I35:I37" si="5">+E35-G35</f>
        <v>58171</v>
      </c>
    </row>
    <row r="36" spans="1:9" x14ac:dyDescent="0.25">
      <c r="D36" s="58" t="s">
        <v>20</v>
      </c>
      <c r="E36" s="68">
        <f>768000</f>
        <v>768000</v>
      </c>
      <c r="G36" s="46">
        <v>527262</v>
      </c>
      <c r="H36" s="68"/>
      <c r="I36" s="68">
        <f t="shared" si="5"/>
        <v>240738</v>
      </c>
    </row>
    <row r="37" spans="1:9" x14ac:dyDescent="0.25">
      <c r="D37" s="58" t="s">
        <v>21</v>
      </c>
      <c r="E37" s="68">
        <v>70000</v>
      </c>
      <c r="G37" s="46">
        <v>0</v>
      </c>
      <c r="H37" s="68"/>
      <c r="I37" s="68">
        <f t="shared" si="5"/>
        <v>70000</v>
      </c>
    </row>
    <row r="38" spans="1:9" s="42" customFormat="1" x14ac:dyDescent="0.25">
      <c r="A38" s="64"/>
      <c r="B38" s="64"/>
      <c r="C38" s="64"/>
      <c r="D38" s="57" t="s">
        <v>9</v>
      </c>
      <c r="E38" s="70">
        <f>SUM(E35:E37)</f>
        <v>910000</v>
      </c>
      <c r="F38" s="46"/>
      <c r="G38" s="51">
        <f>SUM(G35:G37)</f>
        <v>541091</v>
      </c>
      <c r="H38" s="68"/>
      <c r="I38" s="51">
        <f>SUM(I35:I37)</f>
        <v>368909</v>
      </c>
    </row>
    <row r="39" spans="1:9" s="42" customFormat="1" x14ac:dyDescent="0.25">
      <c r="A39" s="64"/>
      <c r="B39" s="64"/>
      <c r="C39" s="71" t="s">
        <v>3</v>
      </c>
      <c r="D39" s="65"/>
      <c r="E39" s="68"/>
      <c r="F39" s="43"/>
      <c r="G39" s="43"/>
      <c r="H39" s="68"/>
      <c r="I39" s="68"/>
    </row>
    <row r="40" spans="1:9" s="42" customFormat="1" x14ac:dyDescent="0.25">
      <c r="A40" s="64"/>
      <c r="B40" s="64"/>
      <c r="C40" s="71"/>
      <c r="D40" s="58" t="s">
        <v>47</v>
      </c>
      <c r="E40" s="68">
        <v>1362663</v>
      </c>
      <c r="F40" s="43"/>
      <c r="G40" s="46">
        <v>1284343</v>
      </c>
      <c r="H40" s="68"/>
      <c r="I40" s="68">
        <f>+E40-G40</f>
        <v>78320</v>
      </c>
    </row>
    <row r="41" spans="1:9" s="42" customFormat="1" x14ac:dyDescent="0.25">
      <c r="A41" s="57"/>
      <c r="B41" s="57"/>
      <c r="C41" s="57"/>
      <c r="D41" s="57" t="s">
        <v>9</v>
      </c>
      <c r="E41" s="51">
        <f>SUM(E40)</f>
        <v>1362663</v>
      </c>
      <c r="F41" s="43"/>
      <c r="G41" s="51">
        <f>SUM(G40)</f>
        <v>1284343</v>
      </c>
      <c r="H41" s="69"/>
      <c r="I41" s="51">
        <f>SUM(I40)</f>
        <v>78320</v>
      </c>
    </row>
    <row r="42" spans="1:9" s="42" customFormat="1" x14ac:dyDescent="0.25">
      <c r="A42" s="57"/>
      <c r="B42" s="57"/>
      <c r="C42" s="57"/>
      <c r="D42" s="64"/>
      <c r="E42" s="43"/>
      <c r="F42" s="43"/>
      <c r="G42" s="43"/>
      <c r="H42" s="69"/>
      <c r="I42" s="43"/>
    </row>
    <row r="43" spans="1:9" s="42" customFormat="1" x14ac:dyDescent="0.25">
      <c r="A43" s="64"/>
      <c r="B43" s="64"/>
      <c r="C43" s="71" t="s">
        <v>34</v>
      </c>
      <c r="D43" s="71"/>
      <c r="E43" s="51">
        <v>128000</v>
      </c>
      <c r="F43" s="43"/>
      <c r="G43" s="51">
        <v>15828</v>
      </c>
      <c r="H43" s="69"/>
      <c r="I43" s="70">
        <f>+E43-G43</f>
        <v>112172</v>
      </c>
    </row>
    <row r="44" spans="1:9" x14ac:dyDescent="0.25">
      <c r="H44" s="69"/>
    </row>
    <row r="45" spans="1:9" x14ac:dyDescent="0.25">
      <c r="D45" s="64" t="s">
        <v>35</v>
      </c>
      <c r="E45" s="51">
        <f>+E41+E33+E38+E43</f>
        <v>3379663</v>
      </c>
      <c r="G45" s="51">
        <f>+G41+G33+G38+G43</f>
        <v>2682009</v>
      </c>
      <c r="H45" s="69"/>
      <c r="I45" s="51">
        <f>+I41+I33+I38+I43</f>
        <v>697654</v>
      </c>
    </row>
    <row r="46" spans="1:9" x14ac:dyDescent="0.25">
      <c r="E46" s="46"/>
      <c r="G46" s="46"/>
      <c r="I46" s="46"/>
    </row>
    <row r="47" spans="1:9" x14ac:dyDescent="0.25">
      <c r="D47" s="65" t="s">
        <v>38</v>
      </c>
      <c r="E47" s="51">
        <f>E27-E45</f>
        <v>850500</v>
      </c>
      <c r="G47" s="51">
        <f>G27-G45</f>
        <v>555911.48</v>
      </c>
      <c r="I47" s="51">
        <f>I27-I45</f>
        <v>294588.52</v>
      </c>
    </row>
    <row r="48" spans="1:9" x14ac:dyDescent="0.25">
      <c r="E48" s="46"/>
      <c r="G48" s="46"/>
      <c r="I48" s="46"/>
    </row>
  </sheetData>
  <mergeCells count="3">
    <mergeCell ref="A1:I1"/>
    <mergeCell ref="A2:I2"/>
    <mergeCell ref="A3:I3"/>
  </mergeCells>
  <pageMargins left="0.35" right="0.33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80"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22" sqref="G22"/>
    </sheetView>
  </sheetViews>
  <sheetFormatPr defaultRowHeight="15.75" x14ac:dyDescent="0.25"/>
  <cols>
    <col min="1" max="1" width="4.5703125" style="31" customWidth="1"/>
    <col min="2" max="2" width="4.140625" style="31" customWidth="1"/>
    <col min="3" max="3" width="4.28515625" style="31" customWidth="1"/>
    <col min="4" max="4" width="33.7109375" style="29" customWidth="1"/>
    <col min="5" max="5" width="22.5703125" style="43" customWidth="1"/>
    <col min="6" max="6" width="1.7109375" style="33" customWidth="1"/>
    <col min="7" max="7" width="23.85546875" style="33" bestFit="1" customWidth="1"/>
    <col min="8" max="8" width="2" style="33" customWidth="1"/>
    <col min="9" max="9" width="22" style="33" customWidth="1"/>
    <col min="10" max="16384" width="9.140625" style="29"/>
  </cols>
  <sheetData>
    <row r="1" spans="1:9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9" x14ac:dyDescent="0.25">
      <c r="E4" s="32"/>
      <c r="I4" s="34"/>
    </row>
    <row r="5" spans="1:9" x14ac:dyDescent="0.25">
      <c r="E5" s="32" t="s">
        <v>44</v>
      </c>
      <c r="G5" s="35" t="s">
        <v>44</v>
      </c>
      <c r="I5" s="34" t="s">
        <v>0</v>
      </c>
    </row>
    <row r="6" spans="1:9" x14ac:dyDescent="0.25">
      <c r="A6" s="36"/>
      <c r="B6" s="36"/>
      <c r="C6" s="36"/>
      <c r="D6" s="36"/>
      <c r="E6" s="37" t="s">
        <v>43</v>
      </c>
      <c r="F6" s="38"/>
      <c r="G6" s="39" t="s">
        <v>49</v>
      </c>
      <c r="H6" s="40"/>
      <c r="I6" s="39"/>
    </row>
    <row r="7" spans="1:9" s="42" customFormat="1" x14ac:dyDescent="0.25">
      <c r="A7" s="41"/>
      <c r="B7" s="42" t="s">
        <v>4</v>
      </c>
      <c r="E7" s="43"/>
      <c r="F7" s="33"/>
      <c r="G7" s="44"/>
      <c r="H7" s="44"/>
      <c r="I7" s="45"/>
    </row>
    <row r="8" spans="1:9" x14ac:dyDescent="0.25">
      <c r="C8" s="29" t="s">
        <v>1</v>
      </c>
      <c r="E8" s="46"/>
      <c r="F8" s="47"/>
      <c r="G8" s="48"/>
      <c r="H8" s="48"/>
      <c r="I8" s="49"/>
    </row>
    <row r="9" spans="1:9" x14ac:dyDescent="0.25">
      <c r="D9" s="50" t="s">
        <v>5</v>
      </c>
      <c r="E9" s="48">
        <v>2500000</v>
      </c>
      <c r="F9" s="47"/>
      <c r="G9" s="46">
        <v>328640</v>
      </c>
      <c r="H9" s="48"/>
      <c r="I9" s="48">
        <f>+E9-G9</f>
        <v>2171360</v>
      </c>
    </row>
    <row r="10" spans="1:9" x14ac:dyDescent="0.25">
      <c r="D10" s="50" t="s">
        <v>6</v>
      </c>
      <c r="E10" s="48">
        <v>150000</v>
      </c>
      <c r="F10" s="47"/>
      <c r="G10" s="46">
        <v>2477</v>
      </c>
      <c r="H10" s="48"/>
      <c r="I10" s="48">
        <f t="shared" ref="I10:I13" si="0">+E10-G10</f>
        <v>147523</v>
      </c>
    </row>
    <row r="11" spans="1:9" x14ac:dyDescent="0.25">
      <c r="D11" s="50" t="s">
        <v>7</v>
      </c>
      <c r="E11" s="48">
        <v>75000</v>
      </c>
      <c r="F11" s="47"/>
      <c r="G11" s="46">
        <v>5719</v>
      </c>
      <c r="H11" s="48"/>
      <c r="I11" s="48">
        <f t="shared" si="0"/>
        <v>69281</v>
      </c>
    </row>
    <row r="12" spans="1:9" x14ac:dyDescent="0.25">
      <c r="D12" s="50" t="s">
        <v>40</v>
      </c>
      <c r="E12" s="48">
        <v>5000</v>
      </c>
      <c r="F12" s="47"/>
      <c r="G12" s="46">
        <v>9</v>
      </c>
      <c r="H12" s="48"/>
      <c r="I12" s="48">
        <f t="shared" si="0"/>
        <v>4991</v>
      </c>
    </row>
    <row r="13" spans="1:9" x14ac:dyDescent="0.25">
      <c r="D13" s="50" t="s">
        <v>8</v>
      </c>
      <c r="E13" s="48">
        <v>10000</v>
      </c>
      <c r="F13" s="47"/>
      <c r="G13" s="46">
        <v>0</v>
      </c>
      <c r="H13" s="48"/>
      <c r="I13" s="48">
        <f t="shared" si="0"/>
        <v>10000</v>
      </c>
    </row>
    <row r="14" spans="1:9" s="42" customFormat="1" x14ac:dyDescent="0.25">
      <c r="A14" s="41"/>
      <c r="B14" s="41"/>
      <c r="C14" s="41"/>
      <c r="D14" s="41" t="s">
        <v>9</v>
      </c>
      <c r="E14" s="51">
        <f>SUM(E9:E13)</f>
        <v>2740000</v>
      </c>
      <c r="F14" s="33"/>
      <c r="G14" s="51">
        <f>SUM(G9:G13)</f>
        <v>336845</v>
      </c>
      <c r="H14" s="49"/>
      <c r="I14" s="51">
        <f>SUM(I9:I13)</f>
        <v>2403155</v>
      </c>
    </row>
    <row r="15" spans="1:9" s="42" customFormat="1" x14ac:dyDescent="0.25">
      <c r="A15" s="41"/>
      <c r="B15" s="41"/>
      <c r="C15" s="42" t="s">
        <v>2</v>
      </c>
      <c r="E15" s="48"/>
      <c r="F15" s="33"/>
      <c r="G15" s="43"/>
      <c r="H15" s="48"/>
      <c r="I15" s="48"/>
    </row>
    <row r="16" spans="1:9" x14ac:dyDescent="0.25">
      <c r="D16" s="50" t="s">
        <v>10</v>
      </c>
      <c r="E16" s="48">
        <v>100000</v>
      </c>
      <c r="G16" s="46">
        <v>2356</v>
      </c>
      <c r="H16" s="48"/>
      <c r="I16" s="48">
        <f t="shared" ref="I16:I18" si="1">+E16-G16</f>
        <v>97644</v>
      </c>
    </row>
    <row r="17" spans="1:9" x14ac:dyDescent="0.25">
      <c r="D17" s="50" t="s">
        <v>11</v>
      </c>
      <c r="E17" s="48">
        <v>500000</v>
      </c>
      <c r="F17" s="47"/>
      <c r="G17" s="46">
        <v>3472</v>
      </c>
      <c r="H17" s="48"/>
      <c r="I17" s="48">
        <f t="shared" si="1"/>
        <v>496528</v>
      </c>
    </row>
    <row r="18" spans="1:9" x14ac:dyDescent="0.25">
      <c r="D18" s="50" t="s">
        <v>12</v>
      </c>
      <c r="E18" s="48">
        <v>20000</v>
      </c>
      <c r="F18" s="47"/>
      <c r="G18" s="46">
        <v>0</v>
      </c>
      <c r="H18" s="48"/>
      <c r="I18" s="48">
        <f t="shared" si="1"/>
        <v>20000</v>
      </c>
    </row>
    <row r="19" spans="1:9" s="42" customFormat="1" x14ac:dyDescent="0.25">
      <c r="A19" s="41"/>
      <c r="B19" s="41"/>
      <c r="C19" s="41"/>
      <c r="D19" s="41" t="s">
        <v>9</v>
      </c>
      <c r="E19" s="51">
        <f>SUM(E16:E18)</f>
        <v>620000</v>
      </c>
      <c r="F19" s="33"/>
      <c r="G19" s="51">
        <f>SUM(G16:G18)</f>
        <v>5828</v>
      </c>
      <c r="H19" s="49"/>
      <c r="I19" s="51">
        <f>SUM(I16:I18)</f>
        <v>614172</v>
      </c>
    </row>
    <row r="20" spans="1:9" s="42" customFormat="1" x14ac:dyDescent="0.25">
      <c r="A20" s="41"/>
      <c r="B20" s="41"/>
      <c r="C20" s="52" t="s">
        <v>13</v>
      </c>
      <c r="E20" s="48"/>
      <c r="F20" s="33"/>
      <c r="G20" s="43"/>
      <c r="H20" s="48"/>
      <c r="I20" s="48"/>
    </row>
    <row r="21" spans="1:9" x14ac:dyDescent="0.25">
      <c r="D21" s="50" t="s">
        <v>14</v>
      </c>
      <c r="E21" s="48">
        <v>38000</v>
      </c>
      <c r="F21" s="47"/>
      <c r="G21" s="46">
        <v>4789.8599999999997</v>
      </c>
      <c r="H21" s="48"/>
      <c r="I21" s="48">
        <f t="shared" ref="I21:I24" si="2">+E21-G21</f>
        <v>33210.14</v>
      </c>
    </row>
    <row r="22" spans="1:9" x14ac:dyDescent="0.25">
      <c r="D22" s="50" t="s">
        <v>15</v>
      </c>
      <c r="E22" s="48">
        <v>10000</v>
      </c>
      <c r="F22" s="47"/>
      <c r="G22" s="46">
        <v>1000</v>
      </c>
      <c r="H22" s="48"/>
      <c r="I22" s="48">
        <f t="shared" si="2"/>
        <v>9000</v>
      </c>
    </row>
    <row r="23" spans="1:9" x14ac:dyDescent="0.25">
      <c r="D23" s="50" t="s">
        <v>16</v>
      </c>
      <c r="E23" s="48">
        <v>25000</v>
      </c>
      <c r="F23" s="47"/>
      <c r="G23" s="46">
        <v>0</v>
      </c>
      <c r="H23" s="48"/>
      <c r="I23" s="48">
        <f t="shared" si="2"/>
        <v>25000</v>
      </c>
    </row>
    <row r="24" spans="1:9" x14ac:dyDescent="0.25">
      <c r="D24" s="50" t="s">
        <v>36</v>
      </c>
      <c r="E24" s="48">
        <v>7500</v>
      </c>
      <c r="F24" s="47"/>
      <c r="G24" s="46">
        <v>0</v>
      </c>
      <c r="H24" s="48"/>
      <c r="I24" s="48">
        <f t="shared" si="2"/>
        <v>7500</v>
      </c>
    </row>
    <row r="25" spans="1:9" s="42" customFormat="1" x14ac:dyDescent="0.25">
      <c r="D25" s="41" t="s">
        <v>9</v>
      </c>
      <c r="E25" s="51">
        <f>SUM(E21:E24)</f>
        <v>80500</v>
      </c>
      <c r="F25" s="33"/>
      <c r="G25" s="51">
        <f>SUM(G21:G24)</f>
        <v>5789.86</v>
      </c>
      <c r="H25" s="49"/>
      <c r="I25" s="51">
        <f>SUM(I21:I24)</f>
        <v>74710.14</v>
      </c>
    </row>
    <row r="26" spans="1:9" s="42" customFormat="1" x14ac:dyDescent="0.25">
      <c r="A26" s="41"/>
      <c r="B26" s="41"/>
      <c r="C26" s="41"/>
      <c r="E26" s="43"/>
      <c r="F26" s="33"/>
      <c r="G26" s="43"/>
      <c r="H26" s="48"/>
      <c r="I26" s="43"/>
    </row>
    <row r="27" spans="1:9" s="42" customFormat="1" x14ac:dyDescent="0.25">
      <c r="A27" s="41"/>
      <c r="B27" s="41"/>
      <c r="C27" s="41"/>
      <c r="D27" s="41" t="s">
        <v>17</v>
      </c>
      <c r="E27" s="51">
        <f>+E25+E14+E19</f>
        <v>3440500</v>
      </c>
      <c r="F27" s="33"/>
      <c r="G27" s="51">
        <f>+G25+G14+G19</f>
        <v>348462.86</v>
      </c>
      <c r="H27" s="49"/>
      <c r="I27" s="51">
        <f>+I25+I14+I19</f>
        <v>3092037.14</v>
      </c>
    </row>
    <row r="28" spans="1:9" s="42" customFormat="1" x14ac:dyDescent="0.25">
      <c r="A28" s="41"/>
      <c r="B28" s="42" t="s">
        <v>18</v>
      </c>
      <c r="E28" s="48"/>
      <c r="F28" s="33"/>
      <c r="G28" s="43"/>
      <c r="H28" s="48"/>
      <c r="I28" s="48"/>
    </row>
    <row r="29" spans="1:9" s="42" customFormat="1" x14ac:dyDescent="0.25">
      <c r="A29" s="41"/>
      <c r="B29" s="41"/>
      <c r="C29" s="42" t="s">
        <v>19</v>
      </c>
      <c r="E29" s="48"/>
      <c r="F29" s="33"/>
      <c r="G29" s="43"/>
      <c r="H29" s="48"/>
      <c r="I29" s="48"/>
    </row>
    <row r="30" spans="1:9" x14ac:dyDescent="0.25">
      <c r="D30" s="50" t="s">
        <v>5</v>
      </c>
      <c r="E30" s="48">
        <v>741430.67599999998</v>
      </c>
      <c r="G30" s="46">
        <v>71531</v>
      </c>
      <c r="H30" s="48"/>
      <c r="I30" s="48">
        <f t="shared" ref="I30:I32" si="3">+E30-G30</f>
        <v>669899.67599999998</v>
      </c>
    </row>
    <row r="31" spans="1:9" x14ac:dyDescent="0.25">
      <c r="D31" s="50" t="s">
        <v>6</v>
      </c>
      <c r="E31" s="48">
        <v>64762.6</v>
      </c>
      <c r="G31" s="46">
        <v>5458</v>
      </c>
      <c r="H31" s="48"/>
      <c r="I31" s="48">
        <f t="shared" si="3"/>
        <v>59304.6</v>
      </c>
    </row>
    <row r="32" spans="1:9" x14ac:dyDescent="0.25">
      <c r="D32" s="50" t="s">
        <v>7</v>
      </c>
      <c r="E32" s="48">
        <v>76552.000000000015</v>
      </c>
      <c r="G32" s="46">
        <v>12529</v>
      </c>
      <c r="H32" s="48"/>
      <c r="I32" s="48">
        <f t="shared" si="3"/>
        <v>64023.000000000015</v>
      </c>
    </row>
    <row r="33" spans="1:9" s="42" customFormat="1" x14ac:dyDescent="0.25">
      <c r="A33" s="41"/>
      <c r="B33" s="41"/>
      <c r="C33" s="41"/>
      <c r="D33" s="41" t="s">
        <v>9</v>
      </c>
      <c r="E33" s="51">
        <f t="shared" ref="E33" si="4">SUM(E30:E32)</f>
        <v>882745.27599999995</v>
      </c>
      <c r="F33" s="33"/>
      <c r="G33" s="51">
        <f t="shared" ref="G33:I33" si="5">SUM(G30:G32)</f>
        <v>89518</v>
      </c>
      <c r="H33" s="49"/>
      <c r="I33" s="51">
        <f t="shared" si="5"/>
        <v>793227.27599999995</v>
      </c>
    </row>
    <row r="34" spans="1:9" s="42" customFormat="1" x14ac:dyDescent="0.25">
      <c r="A34" s="41"/>
      <c r="B34" s="41"/>
      <c r="C34" s="42" t="s">
        <v>2</v>
      </c>
      <c r="E34" s="48"/>
      <c r="F34" s="33"/>
      <c r="G34" s="43"/>
      <c r="H34" s="48"/>
      <c r="I34" s="48"/>
    </row>
    <row r="35" spans="1:9" x14ac:dyDescent="0.25">
      <c r="D35" s="50" t="s">
        <v>10</v>
      </c>
      <c r="E35" s="48">
        <v>17178.434000000001</v>
      </c>
      <c r="G35" s="46">
        <v>108</v>
      </c>
      <c r="H35" s="48"/>
      <c r="I35" s="48">
        <f t="shared" ref="I35:I37" si="6">+E35-G35</f>
        <v>17070.434000000001</v>
      </c>
    </row>
    <row r="36" spans="1:9" x14ac:dyDescent="0.25">
      <c r="D36" s="50" t="s">
        <v>20</v>
      </c>
      <c r="E36" s="48">
        <v>565724.68400000001</v>
      </c>
      <c r="G36" s="46">
        <v>55889</v>
      </c>
      <c r="H36" s="48"/>
      <c r="I36" s="48">
        <f t="shared" si="6"/>
        <v>509835.68400000001</v>
      </c>
    </row>
    <row r="37" spans="1:9" x14ac:dyDescent="0.25">
      <c r="D37" s="50" t="s">
        <v>21</v>
      </c>
      <c r="E37" s="48">
        <v>0</v>
      </c>
      <c r="G37" s="46">
        <v>0</v>
      </c>
      <c r="H37" s="48"/>
      <c r="I37" s="48">
        <f t="shared" si="6"/>
        <v>0</v>
      </c>
    </row>
    <row r="38" spans="1:9" s="42" customFormat="1" x14ac:dyDescent="0.25">
      <c r="A38" s="41"/>
      <c r="B38" s="41"/>
      <c r="C38" s="41"/>
      <c r="D38" s="31" t="s">
        <v>9</v>
      </c>
      <c r="E38" s="51">
        <f>SUM(E35:E37)</f>
        <v>582903.11800000002</v>
      </c>
      <c r="F38" s="47"/>
      <c r="G38" s="51">
        <f>SUM(G35:G37)</f>
        <v>55997</v>
      </c>
      <c r="H38" s="48"/>
      <c r="I38" s="51">
        <f>SUM(I35:I37)</f>
        <v>526906.11800000002</v>
      </c>
    </row>
    <row r="39" spans="1:9" s="42" customFormat="1" x14ac:dyDescent="0.25">
      <c r="A39" s="41"/>
      <c r="B39" s="41"/>
      <c r="C39" s="52" t="s">
        <v>3</v>
      </c>
      <c r="E39" s="48"/>
      <c r="F39" s="33"/>
      <c r="G39" s="43"/>
      <c r="H39" s="48"/>
      <c r="I39" s="48"/>
    </row>
    <row r="40" spans="1:9" s="42" customFormat="1" x14ac:dyDescent="0.25">
      <c r="A40" s="41"/>
      <c r="B40" s="41"/>
      <c r="C40" s="52"/>
      <c r="D40" s="29" t="s">
        <v>47</v>
      </c>
      <c r="E40" s="48">
        <v>1258397.3500000001</v>
      </c>
      <c r="F40" s="33"/>
      <c r="G40" s="46">
        <v>101626</v>
      </c>
      <c r="H40" s="48"/>
      <c r="I40" s="48">
        <f>+E40-G40</f>
        <v>1156771.3500000001</v>
      </c>
    </row>
    <row r="41" spans="1:9" s="42" customFormat="1" x14ac:dyDescent="0.25">
      <c r="A41" s="31"/>
      <c r="B41" s="31"/>
      <c r="C41" s="31"/>
      <c r="D41" s="31" t="s">
        <v>9</v>
      </c>
      <c r="E41" s="53">
        <f>SUM(E40)</f>
        <v>1258397.3500000001</v>
      </c>
      <c r="F41" s="33"/>
      <c r="G41" s="53">
        <f>SUM(G40)</f>
        <v>101626</v>
      </c>
      <c r="H41" s="49"/>
      <c r="I41" s="53">
        <f>SUM(I40)</f>
        <v>1156771.3500000001</v>
      </c>
    </row>
    <row r="42" spans="1:9" s="42" customFormat="1" x14ac:dyDescent="0.25">
      <c r="A42" s="31"/>
      <c r="B42" s="31"/>
      <c r="C42" s="31"/>
      <c r="D42" s="41"/>
      <c r="E42" s="33"/>
      <c r="F42" s="33"/>
      <c r="G42" s="43"/>
      <c r="H42" s="49"/>
      <c r="I42" s="43"/>
    </row>
    <row r="43" spans="1:9" s="42" customFormat="1" x14ac:dyDescent="0.25">
      <c r="A43" s="41"/>
      <c r="B43" s="41"/>
      <c r="C43" s="52" t="s">
        <v>34</v>
      </c>
      <c r="D43" s="52"/>
      <c r="E43" s="53">
        <v>0</v>
      </c>
      <c r="F43" s="33"/>
      <c r="G43" s="51">
        <v>0</v>
      </c>
      <c r="H43" s="49"/>
      <c r="I43" s="54">
        <f>+E43-G43</f>
        <v>0</v>
      </c>
    </row>
    <row r="44" spans="1:9" x14ac:dyDescent="0.25">
      <c r="E44" s="33"/>
      <c r="G44" s="43"/>
      <c r="H44" s="49"/>
      <c r="I44" s="43"/>
    </row>
    <row r="45" spans="1:9" x14ac:dyDescent="0.25">
      <c r="D45" s="41" t="s">
        <v>35</v>
      </c>
      <c r="E45" s="51">
        <f>+E41+E33+E38+E43</f>
        <v>2724045.7439999999</v>
      </c>
      <c r="G45" s="51">
        <f>+G41+G33+G38+G43</f>
        <v>247141</v>
      </c>
      <c r="H45" s="49"/>
      <c r="I45" s="51">
        <f>+I41+I33+I38+I43</f>
        <v>2476904.7439999999</v>
      </c>
    </row>
    <row r="46" spans="1:9" x14ac:dyDescent="0.25">
      <c r="E46" s="46"/>
      <c r="G46" s="46"/>
      <c r="I46" s="46"/>
    </row>
    <row r="47" spans="1:9" x14ac:dyDescent="0.25">
      <c r="D47" s="42" t="s">
        <v>38</v>
      </c>
      <c r="E47" s="51">
        <f>E27-E45</f>
        <v>716454.25600000005</v>
      </c>
      <c r="G47" s="51">
        <f>G27-G45</f>
        <v>101321.85999999999</v>
      </c>
      <c r="I47" s="51">
        <f>I27-I45</f>
        <v>615132.39600000018</v>
      </c>
    </row>
    <row r="48" spans="1:9" x14ac:dyDescent="0.25">
      <c r="E48" s="46"/>
      <c r="G48" s="46"/>
      <c r="I48" s="46"/>
    </row>
  </sheetData>
  <mergeCells count="3">
    <mergeCell ref="A1:I1"/>
    <mergeCell ref="A2:I2"/>
    <mergeCell ref="A3:I3"/>
  </mergeCells>
  <pageMargins left="0.35" right="0.35" top="0.38" bottom="0.46" header="0.3" footer="0.3"/>
  <pageSetup scale="82" orientation="portrait" r:id="rId1"/>
  <rowBreaks count="1" manualBreakCount="1">
    <brk id="5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zoomScale="60" zoomScaleNormal="100" workbookViewId="0">
      <pane xSplit="4" ySplit="6" topLeftCell="E27" activePane="bottomRight" state="frozen"/>
      <selection pane="topRight" activeCell="E1" sqref="E1"/>
      <selection pane="bottomLeft" activeCell="A7" sqref="A7"/>
      <selection pane="bottomRight" activeCell="I53" sqref="I53"/>
    </sheetView>
  </sheetViews>
  <sheetFormatPr defaultRowHeight="15" x14ac:dyDescent="0.2"/>
  <cols>
    <col min="1" max="1" width="4.5703125" style="2" customWidth="1"/>
    <col min="2" max="2" width="4.140625" style="2" customWidth="1"/>
    <col min="3" max="3" width="4.28515625" style="2" customWidth="1"/>
    <col min="4" max="4" width="33.7109375" style="1" customWidth="1"/>
    <col min="5" max="5" width="22.5703125" style="15" customWidth="1"/>
    <col min="6" max="6" width="1.7109375" style="6" customWidth="1"/>
    <col min="7" max="7" width="20.5703125" style="6" bestFit="1" customWidth="1"/>
    <col min="8" max="8" width="2" style="6" customWidth="1"/>
    <col min="9" max="9" width="22" style="6" customWidth="1"/>
    <col min="10" max="16384" width="9.140625" style="1"/>
  </cols>
  <sheetData>
    <row r="1" spans="1:9" x14ac:dyDescent="0.2">
      <c r="A1" s="26"/>
      <c r="B1" s="26"/>
      <c r="C1" s="26"/>
      <c r="D1" s="26"/>
      <c r="E1" s="26"/>
      <c r="F1" s="26"/>
      <c r="G1" s="26"/>
      <c r="H1" s="26"/>
      <c r="I1" s="26"/>
    </row>
    <row r="2" spans="1:9" x14ac:dyDescent="0.2">
      <c r="A2" s="27" t="s">
        <v>41</v>
      </c>
      <c r="B2" s="27"/>
      <c r="C2" s="27"/>
      <c r="D2" s="27"/>
      <c r="E2" s="27"/>
      <c r="F2" s="27"/>
      <c r="G2" s="27"/>
      <c r="H2" s="27"/>
      <c r="I2" s="27"/>
    </row>
    <row r="3" spans="1:9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9" x14ac:dyDescent="0.2">
      <c r="E4" s="5"/>
      <c r="I4" s="7"/>
    </row>
    <row r="5" spans="1:9" x14ac:dyDescent="0.2">
      <c r="E5" s="5" t="s">
        <v>39</v>
      </c>
      <c r="G5" s="8" t="s">
        <v>45</v>
      </c>
      <c r="I5" s="7" t="s">
        <v>44</v>
      </c>
    </row>
    <row r="6" spans="1:9" x14ac:dyDescent="0.2">
      <c r="A6" s="25"/>
      <c r="B6" s="25"/>
      <c r="C6" s="25"/>
      <c r="D6" s="25"/>
      <c r="E6" s="9" t="s">
        <v>43</v>
      </c>
      <c r="F6" s="10"/>
      <c r="G6" s="11" t="s">
        <v>46</v>
      </c>
      <c r="H6" s="12"/>
      <c r="I6" s="11" t="s">
        <v>43</v>
      </c>
    </row>
    <row r="7" spans="1:9" s="14" customFormat="1" x14ac:dyDescent="0.2">
      <c r="A7" s="13"/>
      <c r="B7" s="14" t="s">
        <v>4</v>
      </c>
      <c r="E7" s="15"/>
      <c r="F7" s="6"/>
      <c r="G7" s="16"/>
      <c r="H7" s="16"/>
      <c r="I7" s="17"/>
    </row>
    <row r="8" spans="1:9" x14ac:dyDescent="0.2">
      <c r="C8" s="1" t="s">
        <v>1</v>
      </c>
      <c r="E8" s="3"/>
      <c r="F8" s="4"/>
      <c r="G8" s="18"/>
      <c r="H8" s="18"/>
      <c r="I8" s="19"/>
    </row>
    <row r="9" spans="1:9" x14ac:dyDescent="0.2">
      <c r="D9" s="20" t="s">
        <v>5</v>
      </c>
      <c r="E9" s="18">
        <f>3379663</f>
        <v>3379663</v>
      </c>
      <c r="F9" s="4"/>
      <c r="G9" s="3">
        <f>(1672603.47-11297.67)*12/9</f>
        <v>2215074.4000000004</v>
      </c>
      <c r="H9" s="18"/>
      <c r="I9" s="18">
        <v>2500000</v>
      </c>
    </row>
    <row r="10" spans="1:9" x14ac:dyDescent="0.2">
      <c r="D10" s="20" t="s">
        <v>6</v>
      </c>
      <c r="E10" s="18">
        <f>300000</f>
        <v>300000</v>
      </c>
      <c r="F10" s="4"/>
      <c r="G10" s="3">
        <f>30953*1.33333333333333</f>
        <v>41270.666666666562</v>
      </c>
      <c r="H10" s="18"/>
      <c r="I10" s="18">
        <v>150000</v>
      </c>
    </row>
    <row r="11" spans="1:9" x14ac:dyDescent="0.2">
      <c r="D11" s="20" t="s">
        <v>7</v>
      </c>
      <c r="E11" s="18">
        <f>100000</f>
        <v>100000</v>
      </c>
      <c r="F11" s="4"/>
      <c r="G11" s="3">
        <f>6117*1.33333333333333</f>
        <v>8155.9999999999791</v>
      </c>
      <c r="H11" s="18"/>
      <c r="I11" s="18">
        <v>75000</v>
      </c>
    </row>
    <row r="12" spans="1:9" x14ac:dyDescent="0.2">
      <c r="D12" s="20" t="s">
        <v>40</v>
      </c>
      <c r="E12" s="18">
        <v>0</v>
      </c>
      <c r="F12" s="4"/>
      <c r="G12" s="3">
        <f>218*1.33333333333333</f>
        <v>290.66666666666595</v>
      </c>
      <c r="H12" s="18"/>
      <c r="I12" s="18">
        <v>5000</v>
      </c>
    </row>
    <row r="13" spans="1:9" x14ac:dyDescent="0.2">
      <c r="D13" s="20" t="s">
        <v>8</v>
      </c>
      <c r="E13" s="18">
        <f>25000</f>
        <v>25000</v>
      </c>
      <c r="F13" s="4"/>
      <c r="G13" s="3">
        <f>11297.67*1.33333333333333</f>
        <v>15063.559999999961</v>
      </c>
      <c r="H13" s="18"/>
      <c r="I13" s="18">
        <v>10000</v>
      </c>
    </row>
    <row r="14" spans="1:9" s="14" customFormat="1" x14ac:dyDescent="0.2">
      <c r="A14" s="13"/>
      <c r="B14" s="13"/>
      <c r="C14" s="13"/>
      <c r="D14" s="13" t="s">
        <v>9</v>
      </c>
      <c r="E14" s="22">
        <f>SUM(E9:E13)</f>
        <v>3804663</v>
      </c>
      <c r="F14" s="6"/>
      <c r="G14" s="21">
        <f>SUM(G9:G13)</f>
        <v>2279855.2933333335</v>
      </c>
      <c r="H14" s="19"/>
      <c r="I14" s="21">
        <f>SUM(I9:I13)</f>
        <v>2740000</v>
      </c>
    </row>
    <row r="15" spans="1:9" s="14" customFormat="1" x14ac:dyDescent="0.2">
      <c r="A15" s="13"/>
      <c r="B15" s="13"/>
      <c r="C15" s="14" t="s">
        <v>2</v>
      </c>
      <c r="E15" s="6"/>
      <c r="F15" s="6"/>
      <c r="G15" s="15"/>
      <c r="H15" s="18"/>
      <c r="I15" s="18"/>
    </row>
    <row r="16" spans="1:9" x14ac:dyDescent="0.2">
      <c r="D16" s="20" t="s">
        <v>10</v>
      </c>
      <c r="E16" s="18">
        <f>200000</f>
        <v>200000</v>
      </c>
      <c r="G16" s="3">
        <f>26380*1.33333333333333</f>
        <v>35173.333333333241</v>
      </c>
      <c r="H16" s="18"/>
      <c r="I16" s="18">
        <v>100000</v>
      </c>
    </row>
    <row r="17" spans="1:9" x14ac:dyDescent="0.2">
      <c r="D17" s="20" t="s">
        <v>11</v>
      </c>
      <c r="E17" s="18">
        <f>100000</f>
        <v>100000</v>
      </c>
      <c r="F17" s="4"/>
      <c r="G17" s="3">
        <f>17515*1.33333333333333</f>
        <v>23353.333333333274</v>
      </c>
      <c r="H17" s="18"/>
      <c r="I17" s="18">
        <v>500000</v>
      </c>
    </row>
    <row r="18" spans="1:9" x14ac:dyDescent="0.2">
      <c r="D18" s="20" t="s">
        <v>12</v>
      </c>
      <c r="E18" s="18">
        <f>20000</f>
        <v>20000</v>
      </c>
      <c r="F18" s="4"/>
      <c r="G18" s="3">
        <v>0</v>
      </c>
      <c r="H18" s="18"/>
      <c r="I18" s="18">
        <v>20000</v>
      </c>
    </row>
    <row r="19" spans="1:9" s="14" customFormat="1" x14ac:dyDescent="0.2">
      <c r="A19" s="13"/>
      <c r="B19" s="13"/>
      <c r="C19" s="13"/>
      <c r="D19" s="13" t="s">
        <v>9</v>
      </c>
      <c r="E19" s="23">
        <f>SUM(E16:E18)</f>
        <v>320000</v>
      </c>
      <c r="F19" s="6"/>
      <c r="G19" s="21">
        <f>SUM(G16:G18)</f>
        <v>58526.666666666511</v>
      </c>
      <c r="H19" s="19"/>
      <c r="I19" s="21">
        <f>SUM(I16:I18)</f>
        <v>620000</v>
      </c>
    </row>
    <row r="20" spans="1:9" s="14" customFormat="1" x14ac:dyDescent="0.2">
      <c r="A20" s="13"/>
      <c r="B20" s="13"/>
      <c r="C20" s="24" t="s">
        <v>13</v>
      </c>
      <c r="E20" s="18"/>
      <c r="F20" s="6"/>
      <c r="G20" s="15"/>
      <c r="H20" s="18"/>
      <c r="I20" s="18"/>
    </row>
    <row r="21" spans="1:9" x14ac:dyDescent="0.2">
      <c r="D21" s="20" t="s">
        <v>14</v>
      </c>
      <c r="E21" s="18">
        <f>38000</f>
        <v>38000</v>
      </c>
      <c r="F21" s="4"/>
      <c r="G21" s="3">
        <f>14170*1.33333333333333</f>
        <v>18893.333333333285</v>
      </c>
      <c r="H21" s="18"/>
      <c r="I21" s="18">
        <v>38000</v>
      </c>
    </row>
    <row r="22" spans="1:9" x14ac:dyDescent="0.2">
      <c r="D22" s="20" t="s">
        <v>15</v>
      </c>
      <c r="E22" s="18">
        <f>10000</f>
        <v>10000</v>
      </c>
      <c r="F22" s="4"/>
      <c r="G22" s="3">
        <f>7749*1.33333333333333</f>
        <v>10331.999999999973</v>
      </c>
      <c r="H22" s="18"/>
      <c r="I22" s="18">
        <v>10000</v>
      </c>
    </row>
    <row r="23" spans="1:9" x14ac:dyDescent="0.2">
      <c r="D23" s="20" t="s">
        <v>16</v>
      </c>
      <c r="E23" s="18">
        <f>50000</f>
        <v>50000</v>
      </c>
      <c r="F23" s="4"/>
      <c r="G23" s="3">
        <f>3370*1.33333333333333</f>
        <v>4493.3333333333221</v>
      </c>
      <c r="H23" s="18"/>
      <c r="I23" s="18">
        <v>25000</v>
      </c>
    </row>
    <row r="24" spans="1:9" x14ac:dyDescent="0.2">
      <c r="D24" s="20" t="s">
        <v>36</v>
      </c>
      <c r="E24" s="18">
        <f>7500</f>
        <v>7500</v>
      </c>
      <c r="F24" s="4"/>
      <c r="G24" s="3">
        <f>4332*1.33333333333333</f>
        <v>5775.9999999999854</v>
      </c>
      <c r="H24" s="18"/>
      <c r="I24" s="18">
        <v>7500</v>
      </c>
    </row>
    <row r="25" spans="1:9" s="14" customFormat="1" x14ac:dyDescent="0.2">
      <c r="D25" s="13" t="s">
        <v>9</v>
      </c>
      <c r="E25" s="23">
        <f>SUM(E21:E24)</f>
        <v>105500</v>
      </c>
      <c r="F25" s="6"/>
      <c r="G25" s="21">
        <f>SUM(G21:G24)</f>
        <v>39494.666666666562</v>
      </c>
      <c r="H25" s="19"/>
      <c r="I25" s="21">
        <f>SUM(I21:I24)</f>
        <v>80500</v>
      </c>
    </row>
    <row r="26" spans="1:9" s="14" customFormat="1" x14ac:dyDescent="0.2">
      <c r="A26" s="13"/>
      <c r="B26" s="13"/>
      <c r="C26" s="13"/>
      <c r="E26" s="18"/>
      <c r="F26" s="6"/>
      <c r="G26" s="15"/>
      <c r="H26" s="18"/>
      <c r="I26" s="15"/>
    </row>
    <row r="27" spans="1:9" s="14" customFormat="1" x14ac:dyDescent="0.2">
      <c r="A27" s="13"/>
      <c r="B27" s="13"/>
      <c r="C27" s="13"/>
      <c r="D27" s="13" t="s">
        <v>17</v>
      </c>
      <c r="E27" s="23">
        <f>+E25+E19+E14</f>
        <v>4230163</v>
      </c>
      <c r="F27" s="6"/>
      <c r="G27" s="21">
        <f>+G25+G14+G19</f>
        <v>2377876.6266666665</v>
      </c>
      <c r="H27" s="19"/>
      <c r="I27" s="21">
        <f>+I25+I14+I19</f>
        <v>3440500</v>
      </c>
    </row>
    <row r="28" spans="1:9" s="14" customFormat="1" x14ac:dyDescent="0.2">
      <c r="A28" s="13"/>
      <c r="B28" s="14" t="s">
        <v>18</v>
      </c>
      <c r="E28" s="18"/>
      <c r="F28" s="6"/>
      <c r="G28" s="15"/>
      <c r="H28" s="18"/>
      <c r="I28" s="18"/>
    </row>
    <row r="29" spans="1:9" s="14" customFormat="1" x14ac:dyDescent="0.2">
      <c r="A29" s="13"/>
      <c r="B29" s="13"/>
      <c r="C29" s="14" t="s">
        <v>19</v>
      </c>
      <c r="E29" s="18"/>
      <c r="F29" s="6"/>
      <c r="G29" s="15"/>
      <c r="H29" s="18"/>
      <c r="I29" s="18"/>
    </row>
    <row r="30" spans="1:9" x14ac:dyDescent="0.2">
      <c r="D30" s="20" t="s">
        <v>5</v>
      </c>
      <c r="E30" s="18">
        <f>844000</f>
        <v>844000</v>
      </c>
      <c r="G30" s="3">
        <f>529593*1.33333333333333</f>
        <v>706123.99999999825</v>
      </c>
      <c r="H30" s="18"/>
      <c r="I30" s="18">
        <v>741430.67599999998</v>
      </c>
    </row>
    <row r="31" spans="1:9" x14ac:dyDescent="0.2">
      <c r="D31" s="20" t="s">
        <v>6</v>
      </c>
      <c r="E31" s="18">
        <f>84000</f>
        <v>84000</v>
      </c>
      <c r="G31" s="3">
        <f>46259*1.33333333333333</f>
        <v>61678.666666666511</v>
      </c>
      <c r="H31" s="18"/>
      <c r="I31" s="18">
        <v>64762.6</v>
      </c>
    </row>
    <row r="32" spans="1:9" x14ac:dyDescent="0.2">
      <c r="D32" s="20" t="s">
        <v>7</v>
      </c>
      <c r="E32" s="18">
        <f>51000</f>
        <v>51000</v>
      </c>
      <c r="G32" s="3">
        <f>54680*1.33333333333333</f>
        <v>72906.666666666482</v>
      </c>
      <c r="H32" s="18"/>
      <c r="I32" s="18">
        <v>76552.000000000015</v>
      </c>
    </row>
    <row r="33" spans="1:9" s="14" customFormat="1" x14ac:dyDescent="0.2">
      <c r="A33" s="13"/>
      <c r="B33" s="13"/>
      <c r="C33" s="13"/>
      <c r="D33" s="13" t="s">
        <v>9</v>
      </c>
      <c r="E33" s="23">
        <f>SUM(E30:E32)</f>
        <v>979000</v>
      </c>
      <c r="F33" s="6"/>
      <c r="G33" s="21">
        <f t="shared" ref="G33:I33" si="0">SUM(G30:G32)</f>
        <v>840709.33333333128</v>
      </c>
      <c r="H33" s="19"/>
      <c r="I33" s="21">
        <f t="shared" si="0"/>
        <v>882745.27599999995</v>
      </c>
    </row>
    <row r="34" spans="1:9" s="14" customFormat="1" x14ac:dyDescent="0.2">
      <c r="A34" s="13"/>
      <c r="B34" s="13"/>
      <c r="C34" s="14" t="s">
        <v>2</v>
      </c>
      <c r="E34" s="18"/>
      <c r="F34" s="6"/>
      <c r="G34" s="15"/>
      <c r="H34" s="18"/>
      <c r="I34" s="18"/>
    </row>
    <row r="35" spans="1:9" x14ac:dyDescent="0.2">
      <c r="D35" s="20" t="s">
        <v>10</v>
      </c>
      <c r="E35" s="18">
        <f>72000</f>
        <v>72000</v>
      </c>
      <c r="G35" s="3">
        <f>12270*1.33333333333333</f>
        <v>16359.999999999958</v>
      </c>
      <c r="H35" s="18"/>
      <c r="I35" s="18">
        <v>17178.434000000001</v>
      </c>
    </row>
    <row r="36" spans="1:9" x14ac:dyDescent="0.2">
      <c r="D36" s="20" t="s">
        <v>20</v>
      </c>
      <c r="E36" s="18">
        <f>768000</f>
        <v>768000</v>
      </c>
      <c r="G36" s="3">
        <f>404089*1.33333333333333</f>
        <v>538785.33333333198</v>
      </c>
      <c r="H36" s="18"/>
      <c r="I36" s="18">
        <v>565724.68400000001</v>
      </c>
    </row>
    <row r="37" spans="1:9" x14ac:dyDescent="0.2">
      <c r="D37" s="20" t="s">
        <v>21</v>
      </c>
      <c r="E37" s="18">
        <v>70000</v>
      </c>
      <c r="G37" s="3">
        <v>0</v>
      </c>
      <c r="H37" s="18"/>
      <c r="I37" s="18">
        <v>0</v>
      </c>
    </row>
    <row r="38" spans="1:9" s="14" customFormat="1" x14ac:dyDescent="0.2">
      <c r="A38" s="13"/>
      <c r="B38" s="13"/>
      <c r="C38" s="13"/>
      <c r="D38" s="2" t="s">
        <v>9</v>
      </c>
      <c r="E38" s="23">
        <f>SUM(E35:E37)</f>
        <v>910000</v>
      </c>
      <c r="F38" s="4"/>
      <c r="G38" s="21">
        <f>SUM(G35:G37)</f>
        <v>555145.33333333198</v>
      </c>
      <c r="H38" s="18"/>
      <c r="I38" s="21">
        <f>SUM(I35:I37)</f>
        <v>582903.11800000002</v>
      </c>
    </row>
    <row r="39" spans="1:9" s="14" customFormat="1" x14ac:dyDescent="0.2">
      <c r="A39" s="13"/>
      <c r="B39" s="13"/>
      <c r="C39" s="24" t="s">
        <v>3</v>
      </c>
      <c r="E39" s="18"/>
      <c r="F39" s="6"/>
      <c r="G39" s="15"/>
      <c r="H39" s="18"/>
      <c r="I39" s="18"/>
    </row>
    <row r="40" spans="1:9" x14ac:dyDescent="0.2">
      <c r="D40" s="20" t="s">
        <v>22</v>
      </c>
      <c r="E40" s="18">
        <f>167954</f>
        <v>167954</v>
      </c>
      <c r="G40" s="3">
        <f>98102.25*1.33333333333333</f>
        <v>130802.99999999967</v>
      </c>
      <c r="H40" s="18"/>
      <c r="I40" s="18">
        <v>137343.15</v>
      </c>
    </row>
    <row r="41" spans="1:9" x14ac:dyDescent="0.2">
      <c r="D41" s="20" t="s">
        <v>23</v>
      </c>
      <c r="E41" s="18">
        <f>194856</f>
        <v>194856</v>
      </c>
      <c r="G41" s="3">
        <f>112624*1.33333333333333</f>
        <v>150165.33333333294</v>
      </c>
      <c r="H41" s="18"/>
      <c r="I41" s="18">
        <v>157673.59999999998</v>
      </c>
    </row>
    <row r="42" spans="1:9" x14ac:dyDescent="0.2">
      <c r="D42" s="20" t="s">
        <v>24</v>
      </c>
      <c r="E42" s="18">
        <f>149075</f>
        <v>149075</v>
      </c>
      <c r="G42" s="3">
        <f>101872*1.33333333333333</f>
        <v>135829.33333333299</v>
      </c>
      <c r="H42" s="18"/>
      <c r="I42" s="18">
        <v>142620.80000000002</v>
      </c>
    </row>
    <row r="43" spans="1:9" x14ac:dyDescent="0.2">
      <c r="D43" s="20" t="s">
        <v>25</v>
      </c>
      <c r="E43" s="18">
        <f>123487</f>
        <v>123487</v>
      </c>
      <c r="G43" s="3">
        <f>99483*1.33333333333333</f>
        <v>132643.99999999965</v>
      </c>
      <c r="H43" s="18"/>
      <c r="I43" s="18">
        <v>139276.20000000001</v>
      </c>
    </row>
    <row r="44" spans="1:9" x14ac:dyDescent="0.2">
      <c r="D44" s="20" t="s">
        <v>26</v>
      </c>
      <c r="E44" s="18">
        <f>63492</f>
        <v>63492</v>
      </c>
      <c r="G44" s="3">
        <f>44775*1.33333333333333</f>
        <v>59699.999999999847</v>
      </c>
      <c r="H44" s="18"/>
      <c r="I44" s="18">
        <v>62685</v>
      </c>
    </row>
    <row r="45" spans="1:9" x14ac:dyDescent="0.2">
      <c r="D45" s="20" t="s">
        <v>27</v>
      </c>
      <c r="E45" s="18">
        <f>71303</f>
        <v>71303</v>
      </c>
      <c r="G45" s="3">
        <f>58951*1.33333333333333</f>
        <v>78601.333333333139</v>
      </c>
      <c r="H45" s="18"/>
      <c r="I45" s="18">
        <v>82531.400000000009</v>
      </c>
    </row>
    <row r="46" spans="1:9" x14ac:dyDescent="0.2">
      <c r="D46" s="20" t="s">
        <v>28</v>
      </c>
      <c r="E46" s="18">
        <f>121300</f>
        <v>121300</v>
      </c>
      <c r="G46" s="3">
        <f>79087*1.33333333333333</f>
        <v>105449.33333333307</v>
      </c>
      <c r="H46" s="18"/>
      <c r="I46" s="18">
        <v>110721.80000000002</v>
      </c>
    </row>
    <row r="47" spans="1:9" x14ac:dyDescent="0.2">
      <c r="D47" s="20" t="s">
        <v>29</v>
      </c>
      <c r="E47" s="18">
        <f>76036</f>
        <v>76036</v>
      </c>
      <c r="G47" s="3">
        <f>54334*1.33333333333333</f>
        <v>72445.333333333154</v>
      </c>
      <c r="H47" s="18"/>
      <c r="I47" s="18">
        <v>76067.60000000002</v>
      </c>
    </row>
    <row r="48" spans="1:9" x14ac:dyDescent="0.2">
      <c r="D48" s="20" t="s">
        <v>30</v>
      </c>
      <c r="E48" s="18">
        <f>18354</f>
        <v>18354</v>
      </c>
      <c r="G48" s="3">
        <f>12230*1.33333333333333</f>
        <v>16306.666666666624</v>
      </c>
      <c r="H48" s="18"/>
      <c r="I48" s="18">
        <v>17122.000000000004</v>
      </c>
    </row>
    <row r="49" spans="1:9" x14ac:dyDescent="0.2">
      <c r="D49" s="20" t="s">
        <v>31</v>
      </c>
      <c r="E49" s="18">
        <f>28758</f>
        <v>28758</v>
      </c>
      <c r="G49" s="3">
        <f>35574*1.33333333333333</f>
        <v>47431.999999999876</v>
      </c>
      <c r="H49" s="18"/>
      <c r="I49" s="18">
        <v>49803.6</v>
      </c>
    </row>
    <row r="50" spans="1:9" x14ac:dyDescent="0.2">
      <c r="D50" s="20" t="s">
        <v>32</v>
      </c>
      <c r="E50" s="18">
        <f>58668</f>
        <v>58668</v>
      </c>
      <c r="G50" s="3">
        <f>54486*1.33333333333333</f>
        <v>72647.999999999811</v>
      </c>
      <c r="H50" s="18"/>
      <c r="I50" s="18">
        <v>76280.400000000009</v>
      </c>
    </row>
    <row r="51" spans="1:9" x14ac:dyDescent="0.2">
      <c r="D51" s="20" t="s">
        <v>37</v>
      </c>
      <c r="E51" s="18">
        <f>146069</f>
        <v>146069</v>
      </c>
      <c r="G51" s="3">
        <f>77949*1.33333333333333</f>
        <v>103931.99999999974</v>
      </c>
      <c r="H51" s="18"/>
      <c r="I51" s="18">
        <v>109128.6</v>
      </c>
    </row>
    <row r="52" spans="1:9" x14ac:dyDescent="0.2">
      <c r="D52" s="20" t="s">
        <v>33</v>
      </c>
      <c r="E52" s="18">
        <f>143311</f>
        <v>143311</v>
      </c>
      <c r="G52" s="3">
        <f>69388*1.33333333333333</f>
        <v>92517.333333333096</v>
      </c>
      <c r="H52" s="18"/>
      <c r="I52" s="18">
        <v>97143.2</v>
      </c>
    </row>
    <row r="53" spans="1:9" s="14" customFormat="1" x14ac:dyDescent="0.2">
      <c r="A53" s="2"/>
      <c r="B53" s="2"/>
      <c r="C53" s="2"/>
      <c r="D53" s="13" t="s">
        <v>9</v>
      </c>
      <c r="E53" s="22">
        <f t="shared" ref="E53" si="1">SUM(E40:E52)</f>
        <v>1362663</v>
      </c>
      <c r="F53" s="6"/>
      <c r="G53" s="21">
        <f t="shared" ref="G53:I53" si="2">SUM(G40:G52)</f>
        <v>1198473.6666666635</v>
      </c>
      <c r="H53" s="19"/>
      <c r="I53" s="21">
        <f t="shared" si="2"/>
        <v>1258397.3500000001</v>
      </c>
    </row>
    <row r="54" spans="1:9" s="14" customFormat="1" x14ac:dyDescent="0.2">
      <c r="A54" s="2"/>
      <c r="B54" s="2"/>
      <c r="C54" s="2"/>
      <c r="D54" s="13"/>
      <c r="E54" s="6"/>
      <c r="F54" s="6"/>
      <c r="G54" s="15"/>
      <c r="H54" s="19"/>
      <c r="I54" s="15"/>
    </row>
    <row r="55" spans="1:9" s="14" customFormat="1" x14ac:dyDescent="0.2">
      <c r="A55" s="13"/>
      <c r="B55" s="13"/>
      <c r="C55" s="24" t="s">
        <v>34</v>
      </c>
      <c r="D55" s="24"/>
      <c r="E55" s="22">
        <v>128000</v>
      </c>
      <c r="F55" s="6"/>
      <c r="G55" s="21">
        <v>15977</v>
      </c>
      <c r="H55" s="19"/>
      <c r="I55" s="21">
        <v>0</v>
      </c>
    </row>
    <row r="56" spans="1:9" x14ac:dyDescent="0.2">
      <c r="E56" s="6"/>
      <c r="G56" s="15"/>
      <c r="H56" s="19"/>
      <c r="I56" s="15"/>
    </row>
    <row r="57" spans="1:9" x14ac:dyDescent="0.2">
      <c r="D57" s="13" t="s">
        <v>35</v>
      </c>
      <c r="E57" s="21">
        <f>+E53+E33+E38+E55</f>
        <v>3379663</v>
      </c>
      <c r="G57" s="21">
        <f>+G53+G33+G38+G55</f>
        <v>2610305.333333327</v>
      </c>
      <c r="H57" s="19"/>
      <c r="I57" s="21">
        <f>+I53+I33+I38+I55</f>
        <v>2724045.7439999999</v>
      </c>
    </row>
    <row r="58" spans="1:9" x14ac:dyDescent="0.2">
      <c r="E58" s="3"/>
      <c r="G58" s="3"/>
      <c r="I58" s="3"/>
    </row>
    <row r="59" spans="1:9" x14ac:dyDescent="0.2">
      <c r="D59" s="14" t="s">
        <v>38</v>
      </c>
      <c r="E59" s="21">
        <f>E27-E57</f>
        <v>850500</v>
      </c>
      <c r="G59" s="21">
        <f>G27-G57</f>
        <v>-232428.7066666605</v>
      </c>
      <c r="I59" s="21">
        <f>I27-I57</f>
        <v>716454.25600000005</v>
      </c>
    </row>
    <row r="60" spans="1:9" x14ac:dyDescent="0.2">
      <c r="E60" s="3"/>
      <c r="G60" s="3"/>
      <c r="I60" s="3"/>
    </row>
  </sheetData>
  <mergeCells count="3">
    <mergeCell ref="A1:I1"/>
    <mergeCell ref="A2:I2"/>
    <mergeCell ref="A3:I3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2020 P&amp;L</vt:lpstr>
      <vt:lpstr>2021 Budget</vt:lpstr>
      <vt:lpstr>Sheet1</vt:lpstr>
      <vt:lpstr>'2020 P&amp;L'!Print_Area</vt:lpstr>
      <vt:lpstr>'2021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 BONYO</dc:creator>
  <cp:lastModifiedBy>COLLINS BONYO</cp:lastModifiedBy>
  <cp:lastPrinted>2020-10-30T07:51:23Z</cp:lastPrinted>
  <dcterms:created xsi:type="dcterms:W3CDTF">2020-10-30T03:34:09Z</dcterms:created>
  <dcterms:modified xsi:type="dcterms:W3CDTF">2021-03-05T13:45:04Z</dcterms:modified>
</cp:coreProperties>
</file>